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eceuropaeu.sharepoint.com/teams/GRP-EACNAs-NAConnECT/Shared Documents/Erasmus Plus Higher Education/"/>
    </mc:Choice>
  </mc:AlternateContent>
  <xr:revisionPtr revIDLastSave="116" documentId="11_E02D324CD081B1032CB80694DFFB2DB9AA1AFAA4" xr6:coauthVersionLast="47" xr6:coauthVersionMax="47" xr10:uidLastSave="{06135279-2927-477E-8894-46236975F9CE}"/>
  <bookViews>
    <workbookView xWindow="-120" yWindow="-120" windowWidth="29040" windowHeight="15840" xr2:uid="{00000000-000D-0000-FFFF-FFFF00000000}"/>
  </bookViews>
  <sheets>
    <sheet name="Long-Term Student Mobility" sheetId="1" r:id="rId1"/>
    <sheet name="Short-Term Student Mobility" sheetId="2" r:id="rId2"/>
    <sheet name="Long Term List" sheetId="4" state="hidden" r:id="rId3"/>
    <sheet name="Staff Mobility" sheetId="3" r:id="rId4"/>
    <sheet name="Arkusz1" sheetId="5" r:id="rId5"/>
  </sheets>
  <definedNames>
    <definedName name="_xlnm._FilterDatabase" localSheetId="2" hidden="1">'Long Term List'!$A$1:$F$1</definedName>
    <definedName name="ENDDATE">'Long-Term Student Mobility'!$C$6</definedName>
    <definedName name="ENDDATE_2">'Short-Term Student Mobility'!#REF!</definedName>
    <definedName name="ENDDATE2">'Short-Term Student Mobility'!#REF!</definedName>
    <definedName name="EXTRADAYS">'Long-Term Student Mobility'!$C$10</definedName>
    <definedName name="first14">'Short-Term Student Mobility'!#REF!</definedName>
    <definedName name="first14_2">'Short-Term Student Mobility'!#REF!</definedName>
    <definedName name="GRANTEDDAYS">'Long-Term Student Mobility'!$C$8</definedName>
    <definedName name="GRANTEDDAYS2">'Short-Term Student Mobility'!#REF!</definedName>
    <definedName name="GRANTEDEXTRADAYS">'Long-Term Student Mobility'!$C$10</definedName>
    <definedName name="GRANTEDMONTHS">'Long-Term Student Mobility'!$C$9</definedName>
    <definedName name="STARTDATE">'Long-Term Student Mobility'!$C$5</definedName>
    <definedName name="STARTDATE2">'Short-Term Student Mobility'!#REF!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C8" i="1"/>
  <c r="F15" i="3"/>
  <c r="D15" i="3"/>
  <c r="B8" i="3" l="1"/>
  <c r="H3" i="1" l="1"/>
  <c r="H4" i="1"/>
  <c r="F5" i="1"/>
  <c r="F15" i="1" l="1"/>
  <c r="G15" i="1" s="1"/>
  <c r="Q1" i="4"/>
  <c r="P1" i="4"/>
  <c r="B9" i="3" l="1"/>
  <c r="B9" i="2"/>
  <c r="B10" i="3" l="1"/>
  <c r="E15" i="3" s="1"/>
  <c r="C15" i="3"/>
  <c r="B10" i="2"/>
  <c r="C15" i="2" s="1"/>
  <c r="D17" i="2" s="1"/>
  <c r="B15" i="2"/>
  <c r="I15" i="3" l="1"/>
  <c r="E15" i="2"/>
  <c r="I15" i="2" s="1"/>
  <c r="D6" i="1" l="1"/>
  <c r="C9" i="1" l="1"/>
  <c r="C10" i="1" l="1"/>
  <c r="H15" i="1" s="1"/>
  <c r="N15" i="1" l="1"/>
</calcChain>
</file>

<file path=xl/sharedStrings.xml><?xml version="1.0" encoding="utf-8"?>
<sst xmlns="http://schemas.openxmlformats.org/spreadsheetml/2006/main" count="206" uniqueCount="126">
  <si>
    <t>Call 2021 KA131 - Erasmus+ higher education student mobility (long term) - calculation of the length of stay and the grant amount</t>
  </si>
  <si>
    <r>
      <t xml:space="preserve">Fill in </t>
    </r>
    <r>
      <rPr>
        <b/>
        <sz val="14"/>
        <color rgb="FFFF0000"/>
        <rFont val="Calibri"/>
        <family val="2"/>
        <scheme val="minor"/>
      </rPr>
      <t xml:space="preserve">A </t>
    </r>
    <r>
      <rPr>
        <sz val="14"/>
        <color theme="1"/>
        <rFont val="Calibri"/>
        <family val="2"/>
        <scheme val="minor"/>
      </rPr>
      <t>and</t>
    </r>
    <r>
      <rPr>
        <b/>
        <sz val="14"/>
        <color rgb="FFFF0000"/>
        <rFont val="Calibri"/>
        <family val="2"/>
        <scheme val="minor"/>
      </rPr>
      <t xml:space="preserve"> B </t>
    </r>
    <r>
      <rPr>
        <sz val="14"/>
        <rFont val="Calibri"/>
        <family val="2"/>
        <scheme val="minor"/>
      </rPr>
      <t>and then</t>
    </r>
    <r>
      <rPr>
        <b/>
        <sz val="14"/>
        <color rgb="FFFF0000"/>
        <rFont val="Calibri"/>
        <family val="2"/>
        <scheme val="minor"/>
      </rPr>
      <t xml:space="preserve"> C</t>
    </r>
  </si>
  <si>
    <t>dd-mm-yy</t>
  </si>
  <si>
    <t>Any additional days funded by individual support for green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</si>
  <si>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of the funded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</si>
  <si>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of the funded physical mobility:</t>
    </r>
  </si>
  <si>
    <t>Total number of funded days</t>
  </si>
  <si>
    <t>Full months</t>
  </si>
  <si>
    <t>Extra days of the incomplete month</t>
  </si>
  <si>
    <t>All amounts in Euro</t>
  </si>
  <si>
    <t>Individual support</t>
  </si>
  <si>
    <r>
      <t>Travel support</t>
    </r>
    <r>
      <rPr>
        <b/>
        <sz val="14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</si>
  <si>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 xml:space="preserve">Total amount </t>
    </r>
    <r>
      <rPr>
        <sz val="11"/>
        <color theme="1"/>
        <rFont val="Calibri"/>
        <family val="2"/>
        <scheme val="minor"/>
      </rPr>
      <t>(individual support and travel support)</t>
    </r>
  </si>
  <si>
    <t>Monthly base amount</t>
  </si>
  <si>
    <r>
      <t xml:space="preserve">Fewer opportunities 
top-up </t>
    </r>
    <r>
      <rPr>
        <b/>
        <sz val="11"/>
        <color theme="1"/>
        <rFont val="Calibri"/>
        <family val="2"/>
        <scheme val="minor"/>
      </rPr>
      <t>(1)(5)</t>
    </r>
  </si>
  <si>
    <r>
      <t xml:space="preserve">Traineeships
top-up </t>
    </r>
    <r>
      <rPr>
        <b/>
        <sz val="11"/>
        <color theme="1"/>
        <rFont val="Calibri"/>
        <family val="2"/>
        <scheme val="minor"/>
      </rPr>
      <t>(2)</t>
    </r>
  </si>
  <si>
    <r>
      <t xml:space="preserve">Total monthly amount including top-ups </t>
    </r>
    <r>
      <rPr>
        <b/>
        <sz val="11"/>
        <color theme="1"/>
        <rFont val="Calibri"/>
        <family val="2"/>
        <scheme val="minor"/>
      </rPr>
      <t>(4)</t>
    </r>
  </si>
  <si>
    <t>Total daily amount including top-ups</t>
  </si>
  <si>
    <r>
      <t xml:space="preserve">Total amount of individual support </t>
    </r>
    <r>
      <rPr>
        <b/>
        <sz val="11"/>
        <color theme="1"/>
        <rFont val="Calibri"/>
        <family val="2"/>
        <scheme val="minor"/>
      </rPr>
      <t>(6)</t>
    </r>
  </si>
  <si>
    <t>Travel support - In case of standard travel - select amount based on distance band or 0</t>
  </si>
  <si>
    <t>Travel support - In case of green travel - select amount based on distance band or 0</t>
  </si>
  <si>
    <t>Participants not receiving travel support - top-up amount to individual support for green travel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</si>
  <si>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Long-term 
      student mobility</t>
    </r>
  </si>
  <si>
    <t xml:space="preserve"> -   € </t>
  </si>
  <si>
    <t>Please type the monthly base amount</t>
  </si>
  <si>
    <t xml:space="preserve">In case of discrepancies between the calculator and the Programme Guide, the Programme Guide should always be followed. </t>
  </si>
  <si>
    <t>In case of discrepancies between the calculator and the Beneficiary Module, the Beneficiary Module takes precedence.</t>
  </si>
  <si>
    <t>Yellow cells indicate that users should select or enter a value. White cells indicate calculated results.</t>
  </si>
  <si>
    <r>
      <rPr>
        <b/>
        <sz val="14"/>
        <color theme="1"/>
        <rFont val="Calibri"/>
        <family val="2"/>
        <scheme val="minor"/>
      </rPr>
      <t xml:space="preserve">(1) </t>
    </r>
    <r>
      <rPr>
        <sz val="14"/>
        <color theme="1"/>
        <rFont val="Calibri"/>
        <family val="2"/>
        <scheme val="minor"/>
      </rPr>
      <t>The top-up amount for students and recent graduates with fewer opportunities will not apply in the case of outermost regions and OCTs</t>
    </r>
  </si>
  <si>
    <r>
      <rPr>
        <b/>
        <sz val="14"/>
        <color theme="1"/>
        <rFont val="Calibri"/>
        <family val="2"/>
        <scheme val="minor"/>
      </rPr>
      <t xml:space="preserve">(2) </t>
    </r>
    <r>
      <rPr>
        <sz val="14"/>
        <color theme="1"/>
        <rFont val="Calibri"/>
        <family val="2"/>
        <scheme val="minor"/>
      </rPr>
      <t>The top-up amount for traineeships will not apply in the case of mobility to Partner Countries from Regions 1-4 and 6-
13.</t>
    </r>
  </si>
  <si>
    <r>
      <rPr>
        <b/>
        <sz val="14"/>
        <color theme="1"/>
        <rFont val="Calibri"/>
        <family val="2"/>
        <scheme val="minor"/>
      </rPr>
      <t xml:space="preserve">(3) </t>
    </r>
    <r>
      <rPr>
        <sz val="14"/>
        <color theme="1"/>
        <rFont val="Calibri"/>
        <family val="2"/>
        <scheme val="minor"/>
      </rPr>
      <t>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</si>
  <si>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 xml:space="preserve">(4) </t>
    </r>
    <r>
      <rPr>
        <sz val="14"/>
        <color theme="1"/>
        <rFont val="Calibri"/>
        <family val="2"/>
        <scheme val="minor"/>
      </rPr>
      <t>Participants with fewer opportunities who take part in traineeships are entitled to receive the top-up amount for fewer opportunities and the top-up amount for traineeships.</t>
    </r>
  </si>
  <si>
    <r>
      <rPr>
        <b/>
        <sz val="14"/>
        <color theme="1"/>
        <rFont val="Calibri"/>
        <family val="2"/>
        <scheme val="minor"/>
      </rPr>
      <t xml:space="preserve">(5) </t>
    </r>
    <r>
      <rPr>
        <sz val="14"/>
        <color theme="1"/>
        <rFont val="Calibri"/>
        <family val="2"/>
        <scheme val="minor"/>
      </rPr>
      <t>The top-up amount for participants with fewer opportunities will apply to mobility from Programme to Partner Countries (“international mobility").</t>
    </r>
  </si>
  <si>
    <r>
      <rPr>
        <b/>
        <sz val="14"/>
        <color theme="1"/>
        <rFont val="Calibri"/>
        <family val="2"/>
        <scheme val="minor"/>
      </rPr>
      <t xml:space="preserve">(6) </t>
    </r>
    <r>
      <rPr>
        <sz val="14"/>
        <color theme="1"/>
        <rFont val="Calibri"/>
        <family val="2"/>
        <scheme val="minor"/>
      </rPr>
      <t>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</si>
  <si>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>Call 2021 KA131 - Erasmus+ higher education student mobility (short term) - calculation of the length of stay and the grant amount</t>
  </si>
  <si>
    <t>Any additional days funded by individual support for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</si>
  <si>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Start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</si>
  <si>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</si>
  <si>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>(including max 6 travel days)</t>
    </r>
  </si>
  <si>
    <t>days</t>
  </si>
  <si>
    <t xml:space="preserve">… using the daily rate for funded days 5-14 </t>
  </si>
  <si>
    <t>… using the daily rate for funded days 15-36</t>
  </si>
  <si>
    <r>
      <t>Travel support (</t>
    </r>
    <r>
      <rPr>
        <b/>
        <sz val="14"/>
        <color theme="1"/>
        <rFont val="Calibri"/>
        <family val="2"/>
        <scheme val="minor"/>
      </rPr>
      <t>1)</t>
    </r>
  </si>
  <si>
    <r>
      <rPr>
        <b/>
        <sz val="11"/>
        <color theme="1"/>
        <rFont val="Calibri"/>
        <family val="2"/>
        <scheme val="minor"/>
      </rPr>
      <t>Total amount</t>
    </r>
    <r>
      <rPr>
        <sz val="11"/>
        <color theme="1"/>
        <rFont val="Calibri"/>
        <family val="2"/>
        <scheme val="minor"/>
      </rPr>
      <t xml:space="preserve"> (individual support and travel support)</t>
    </r>
  </si>
  <si>
    <t>Total base amount of the individual support for the first 14 days</t>
  </si>
  <si>
    <t>Total base amount of the individual support for days 15-36</t>
  </si>
  <si>
    <t>Fewer opportunities - top-up amount to the individual support</t>
  </si>
  <si>
    <t>Total amount - individual support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</si>
  <si>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 Short-term 
      student mobility</t>
    </r>
  </si>
  <si>
    <t>In case of discrepancies between the calculator and the Programme Guide, the Programme Guide should always be followed.</t>
  </si>
  <si>
    <t>(1) It is only possible for participants to receive one type of travel support</t>
  </si>
  <si>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</si>
  <si>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</si>
  <si>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</si>
  <si>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</si>
  <si>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</si>
  <si>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</si>
  <si>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</si>
  <si>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</si>
  <si>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</si>
  <si>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</si>
  <si>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</si>
  <si>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</si>
  <si>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</si>
  <si>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</si>
  <si>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</si>
  <si>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</si>
  <si>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</si>
  <si>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</si>
  <si>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</si>
  <si>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</si>
  <si>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</si>
  <si>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</si>
  <si>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</si>
  <si>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</si>
  <si>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</si>
  <si>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</si>
  <si>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</si>
  <si>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</si>
  <si>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</si>
  <si>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</si>
  <si>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</si>
  <si>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</si>
  <si>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</si>
  <si>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</si>
  <si>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</si>
  <si>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</si>
  <si>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</si>
  <si>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</si>
  <si>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</si>
  <si>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</si>
  <si>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</si>
  <si>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</si>
  <si>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</si>
  <si>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</si>
  <si>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</si>
  <si>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</si>
  <si>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</si>
  <si>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</si>
  <si>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</si>
  <si>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</si>
  <si>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</si>
  <si>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</si>
  <si>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</si>
  <si>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</si>
  <si>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</si>
  <si>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</si>
  <si>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</si>
  <si>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</si>
  <si>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</si>
  <si>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Call 2021 KA131 - Erasmus+ higher education staff mobility - calculation of the length of stay and the grant amount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</si>
  <si>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</si>
  <si>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 xml:space="preserve">(including max 6 travel days) </t>
    </r>
  </si>
  <si>
    <t xml:space="preserve">… using the daily rate for funded days 1-14 </t>
  </si>
  <si>
    <t xml:space="preserve">… using the daily rate for funded days 15-66 </t>
  </si>
  <si>
    <r>
      <t xml:space="preserve">Travel support </t>
    </r>
    <r>
      <rPr>
        <b/>
        <sz val="14"/>
        <color theme="1"/>
        <rFont val="Calibri"/>
        <family val="2"/>
        <scheme val="minor"/>
      </rPr>
      <t>(1)</t>
    </r>
  </si>
  <si>
    <t>Daily rate up to the 14th day</t>
  </si>
  <si>
    <r>
      <t>Individual support</t>
    </r>
    <r>
      <rPr>
        <sz val="11"/>
        <rFont val="Calibri"/>
        <family val="2"/>
        <scheme val="minor"/>
      </rPr>
      <t xml:space="preserve">, up to the 14th day </t>
    </r>
  </si>
  <si>
    <t>Daily rate from the 15th day</t>
  </si>
  <si>
    <t>Individual support between the 15th and 66th day (70% of the amount for the first 14 days)</t>
  </si>
  <si>
    <r>
      <t xml:space="preserve">Total amount - individual support </t>
    </r>
    <r>
      <rPr>
        <b/>
        <sz val="11"/>
        <color theme="1"/>
        <rFont val="Calibri"/>
        <family val="2"/>
        <scheme val="minor"/>
      </rPr>
      <t>(2)</t>
    </r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</si>
  <si>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Staff mobility</t>
    </r>
  </si>
  <si>
    <t>Please type the daily rate</t>
  </si>
  <si>
    <t>call</t>
  </si>
  <si>
    <r>
      <rPr>
        <b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</si>
  <si>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>(2)</t>
    </r>
    <r>
      <rPr>
        <sz val="14"/>
        <color theme="1"/>
        <rFont val="Calibri"/>
        <family val="2"/>
        <scheme val="minor"/>
      </rPr>
      <t xml:space="preserve"> 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</si>
</sst>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dd/mm/yy;@"/>
    <numFmt numFmtId="167" formatCode="_-* #,##0\ [$€-80C]_-;\-* #,##0\ [$€-80C]_-;_-* &quot;-&quot;??\ [$€-80C]_-;_-@_-"/>
    <numFmt numFmtId="168" formatCode="#,##0.00\ &quot;€&quot;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0" fillId="2" borderId="1" xfId="0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6" borderId="0" xfId="0" applyFill="1"/>
    <xf numFmtId="0" fontId="0" fillId="6" borderId="9" xfId="0" applyFill="1" applyBorder="1"/>
    <xf numFmtId="0" fontId="0" fillId="6" borderId="10" xfId="0" applyFill="1" applyBorder="1"/>
    <xf numFmtId="0" fontId="0" fillId="6" borderId="5" xfId="0" applyFill="1" applyBorder="1"/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15" fillId="7" borderId="0" xfId="0" applyFont="1" applyFill="1"/>
    <xf numFmtId="0" fontId="17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" fontId="17" fillId="3" borderId="20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/>
    <xf numFmtId="1" fontId="17" fillId="3" borderId="19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17" fillId="2" borderId="21" xfId="0" applyFont="1" applyFill="1" applyBorder="1" applyAlignment="1">
      <alignment horizontal="center"/>
    </xf>
    <xf numFmtId="0" fontId="0" fillId="2" borderId="21" xfId="0" applyFill="1" applyBorder="1"/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vertical="center" wrapText="1"/>
    </xf>
    <xf numFmtId="1" fontId="16" fillId="7" borderId="19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wrapText="1"/>
    </xf>
    <xf numFmtId="1" fontId="18" fillId="3" borderId="18" xfId="0" applyNumberFormat="1" applyFont="1" applyFill="1" applyBorder="1" applyAlignment="1">
      <alignment horizontal="center" vertical="center" wrapText="1"/>
    </xf>
    <xf numFmtId="1" fontId="16" fillId="3" borderId="19" xfId="0" applyNumberFormat="1" applyFont="1" applyFill="1" applyBorder="1" applyAlignment="1">
      <alignment horizontal="center" vertical="center" wrapText="1"/>
    </xf>
    <xf numFmtId="1" fontId="17" fillId="3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6" fontId="17" fillId="3" borderId="22" xfId="0" applyNumberFormat="1" applyFont="1" applyFill="1" applyBorder="1" applyAlignment="1" applyProtection="1">
      <alignment horizontal="center" vertical="center"/>
      <protection locked="0"/>
    </xf>
    <xf numFmtId="166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67" fontId="14" fillId="0" borderId="0" xfId="0" applyNumberFormat="1" applyFont="1" applyAlignment="1">
      <alignment wrapText="1"/>
    </xf>
    <xf numFmtId="167" fontId="14" fillId="0" borderId="0" xfId="0" applyNumberFormat="1" applyFont="1"/>
    <xf numFmtId="165" fontId="14" fillId="0" borderId="0" xfId="1" applyFont="1" applyFill="1" applyBorder="1"/>
    <xf numFmtId="16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165" fontId="14" fillId="0" borderId="0" xfId="1" applyFont="1" applyFill="1" applyBorder="1" applyAlignment="1">
      <alignment horizontal="center"/>
    </xf>
    <xf numFmtId="16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16" fillId="0" borderId="1" xfId="0" applyFont="1" applyBorder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5" fontId="15" fillId="0" borderId="0" xfId="1" applyFont="1" applyFill="1" applyBorder="1"/>
    <xf numFmtId="165" fontId="15" fillId="0" borderId="0" xfId="1" applyFont="1" applyFill="1" applyBorder="1" applyAlignment="1">
      <alignment horizontal="right"/>
    </xf>
    <xf numFmtId="167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wrapText="1"/>
    </xf>
    <xf numFmtId="0" fontId="5" fillId="2" borderId="23" xfId="0" applyFont="1" applyFill="1" applyBorder="1" applyAlignment="1">
      <alignment horizontal="right" wrapText="1"/>
    </xf>
    <xf numFmtId="0" fontId="2" fillId="0" borderId="0" xfId="0" applyFont="1"/>
    <xf numFmtId="0" fontId="5" fillId="6" borderId="5" xfId="0" applyFont="1" applyFill="1" applyBorder="1"/>
    <xf numFmtId="0" fontId="5" fillId="6" borderId="0" xfId="0" applyFont="1" applyFill="1"/>
    <xf numFmtId="0" fontId="3" fillId="6" borderId="5" xfId="0" applyFont="1" applyFill="1" applyBorder="1"/>
    <xf numFmtId="49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8" fontId="21" fillId="0" borderId="0" xfId="0" applyNumberFormat="1" applyFont="1"/>
    <xf numFmtId="167" fontId="21" fillId="0" borderId="0" xfId="0" applyNumberFormat="1" applyFont="1"/>
    <xf numFmtId="0" fontId="21" fillId="0" borderId="0" xfId="0" applyFont="1"/>
    <xf numFmtId="165" fontId="14" fillId="0" borderId="0" xfId="1" applyFont="1" applyFill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wrapText="1"/>
    </xf>
    <xf numFmtId="0" fontId="4" fillId="6" borderId="7" xfId="0" applyFont="1" applyFill="1" applyBorder="1"/>
    <xf numFmtId="0" fontId="23" fillId="6" borderId="8" xfId="0" applyFont="1" applyFill="1" applyBorder="1"/>
    <xf numFmtId="0" fontId="21" fillId="6" borderId="9" xfId="0" applyFont="1" applyFill="1" applyBorder="1"/>
    <xf numFmtId="0" fontId="4" fillId="6" borderId="5" xfId="0" applyFont="1" applyFill="1" applyBorder="1"/>
    <xf numFmtId="0" fontId="23" fillId="6" borderId="0" xfId="0" applyFont="1" applyFill="1"/>
    <xf numFmtId="0" fontId="21" fillId="6" borderId="10" xfId="0" applyFont="1" applyFill="1" applyBorder="1"/>
    <xf numFmtId="0" fontId="21" fillId="6" borderId="8" xfId="0" applyFont="1" applyFill="1" applyBorder="1" applyAlignment="1">
      <alignment wrapText="1"/>
    </xf>
    <xf numFmtId="0" fontId="21" fillId="6" borderId="0" xfId="0" applyFont="1" applyFill="1" applyAlignment="1">
      <alignment wrapText="1"/>
    </xf>
    <xf numFmtId="0" fontId="8" fillId="2" borderId="34" xfId="0" applyFont="1" applyFill="1" applyBorder="1" applyAlignment="1">
      <alignment horizontal="left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1" fontId="17" fillId="0" borderId="41" xfId="0" applyNumberFormat="1" applyFont="1" applyBorder="1" applyAlignment="1">
      <alignment horizontal="center" vertical="center" wrapText="1"/>
    </xf>
    <xf numFmtId="1" fontId="17" fillId="0" borderId="43" xfId="0" applyNumberFormat="1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" fontId="19" fillId="7" borderId="25" xfId="0" applyNumberFormat="1" applyFont="1" applyFill="1" applyBorder="1" applyAlignment="1">
      <alignment horizontal="center" vertical="center" wrapText="1"/>
    </xf>
    <xf numFmtId="1" fontId="17" fillId="7" borderId="19" xfId="0" applyNumberFormat="1" applyFont="1" applyFill="1" applyBorder="1" applyAlignment="1">
      <alignment horizontal="center" vertical="center" wrapText="1"/>
    </xf>
    <xf numFmtId="1" fontId="17" fillId="7" borderId="4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26" fillId="7" borderId="20" xfId="0" applyNumberFormat="1" applyFont="1" applyFill="1" applyBorder="1" applyAlignment="1">
      <alignment horizontal="center" vertical="center" wrapText="1"/>
    </xf>
    <xf numFmtId="2" fontId="17" fillId="7" borderId="41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25" fillId="7" borderId="19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10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wrapText="1"/>
    </xf>
    <xf numFmtId="0" fontId="5" fillId="6" borderId="12" xfId="0" applyFont="1" applyFill="1" applyBorder="1" applyAlignment="1">
      <alignment horizontal="left" wrapText="1"/>
    </xf>
    <xf numFmtId="0" fontId="5" fillId="6" borderId="13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0" fillId="2" borderId="44" xfId="0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</cellXfs>
  <cellStyles count="2">
    <cellStyle name="Gjaldmiðill" xfId="1" builtinId="4"/>
    <cellStyle name="Venjulegt" xfId="0" builtinId="0"/>
  </cellStyles>
  <dxfs count="8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0" zoomScaleNormal="80" workbookViewId="0">
      <selection activeCell="H15" sqref="H15"/>
    </sheetView>
  </sheetViews>
  <sheetFormatPr defaultColWidth="8.7109375" defaultRowHeight="15" x14ac:dyDescent="0.25"/>
  <cols>
    <col min="1" max="1" width="38.28515625" customWidth="1"/>
    <col min="2" max="2" width="3.42578125" style="26" customWidth="1"/>
    <col min="3" max="3" width="25.5703125" customWidth="1"/>
    <col min="4" max="4" width="19.42578125" customWidth="1"/>
    <col min="5" max="5" width="24.5703125" customWidth="1"/>
    <col min="6" max="6" width="20.7109375" customWidth="1"/>
    <col min="7" max="7" width="17.85546875" customWidth="1"/>
    <col min="8" max="8" width="21.28515625" customWidth="1"/>
    <col min="9" max="9" width="4.28515625" customWidth="1"/>
    <col min="10" max="10" width="22.28515625" customWidth="1"/>
    <col min="11" max="11" width="30.7109375" customWidth="1"/>
    <col min="12" max="12" width="25" customWidth="1"/>
    <col min="13" max="13" width="4.28515625" customWidth="1"/>
    <col min="14" max="14" width="21.140625" customWidth="1"/>
  </cols>
  <sheetData>
    <row r="1" spans="1:14" ht="18.75" x14ac:dyDescent="0.3">
      <c r="A1" s="38" t="s">
        <v>0</v>
      </c>
      <c r="B1" s="27"/>
    </row>
    <row r="2" spans="1:14" ht="18.75" x14ac:dyDescent="0.3">
      <c r="A2" s="3" t="s">
        <v>1</v>
      </c>
      <c r="B2" s="27"/>
    </row>
    <row r="3" spans="1:14" ht="15.75" thickBot="1" x14ac:dyDescent="0.3">
      <c r="D3" s="83"/>
      <c r="F3" s="74"/>
      <c r="G3" s="74"/>
      <c r="H3" s="74" t="str">
        <f>IF(AND(MONTH(C5)=1,DAY(C5)=1,MONTH(C6)=2,DAY(C6)=28),"Yes","No")</f>
        <v>No</v>
      </c>
    </row>
    <row r="4" spans="1:14" ht="23.25" x14ac:dyDescent="0.35">
      <c r="A4" s="33"/>
      <c r="C4" s="32" t="s">
        <v>2</v>
      </c>
      <c r="D4" s="148" t="s">
        <v>3</v>
      </c>
      <c r="E4" s="149"/>
      <c r="F4" s="75">
        <v>44562</v>
      </c>
      <c r="G4" s="75">
        <v>44620</v>
      </c>
      <c r="H4" s="74">
        <f>DAY(C6)</f>
        <v>7</v>
      </c>
    </row>
    <row r="5" spans="1:14" ht="48.75" customHeight="1" x14ac:dyDescent="0.3">
      <c r="A5" s="34" t="s">
        <v>4</v>
      </c>
      <c r="B5" s="29"/>
      <c r="C5" s="45">
        <v>44567</v>
      </c>
      <c r="D5" s="148"/>
      <c r="E5" s="149"/>
      <c r="F5" s="76" t="str">
        <f>IF(STARTDATE=F4,IF(ENDDATE=G4,"60","NN"),"N")</f>
        <v>N</v>
      </c>
      <c r="G5" s="76"/>
      <c r="H5" s="74"/>
      <c r="J5" s="3"/>
      <c r="K5" s="3"/>
    </row>
    <row r="6" spans="1:14" ht="45.95" customHeight="1" thickBot="1" x14ac:dyDescent="0.35">
      <c r="A6" s="35" t="s">
        <v>5</v>
      </c>
      <c r="B6" s="29"/>
      <c r="C6" s="46">
        <v>44749</v>
      </c>
      <c r="D6" s="14" t="str">
        <f>IF(STARTDATE&lt;ENDDATE,"","START DATE must be  &lt; END STARTDATEDATE")</f>
        <v/>
      </c>
      <c r="E6" s="4"/>
      <c r="F6" s="2"/>
      <c r="H6" s="3"/>
      <c r="I6" s="3"/>
      <c r="J6" s="3"/>
      <c r="K6" s="3"/>
      <c r="M6" s="3"/>
    </row>
    <row r="7" spans="1:14" ht="24" thickBot="1" x14ac:dyDescent="0.4">
      <c r="A7" s="9"/>
      <c r="B7" s="30"/>
      <c r="C7" s="24"/>
      <c r="D7" s="2"/>
      <c r="E7" s="2"/>
      <c r="F7" s="2"/>
      <c r="G7" s="3"/>
      <c r="H7" s="3"/>
      <c r="I7" s="3"/>
      <c r="J7" s="3"/>
      <c r="K7" s="3"/>
      <c r="M7" s="3"/>
    </row>
    <row r="8" spans="1:14" ht="23.25" x14ac:dyDescent="0.35">
      <c r="A8" s="40" t="s">
        <v>6</v>
      </c>
      <c r="B8" s="31"/>
      <c r="C8" s="47">
        <f>IF(STARTDATE&lt;ENDDATE,(YEAR(ENDDATE)-YEAR(STARTDATE))*360+(MONTH(ENDDATE)-MONTH(STARTDATE))*30+(IF(OR(DAY(ENDDATE)=31,AND(MONTH(ENDDATE)=2,DAY(ENDDATE)=28)),30,DAY(ENDDATE))-IF(DAY(STARTDATE)=31,30,DAY(STARTDATE)))+1," ")</f>
        <v>182</v>
      </c>
      <c r="D8" s="79"/>
    </row>
    <row r="9" spans="1:14" ht="23.25" x14ac:dyDescent="0.35">
      <c r="A9" s="77" t="s">
        <v>7</v>
      </c>
      <c r="B9" s="30"/>
      <c r="C9" s="48">
        <f>IF(STARTDATE&lt;ENDDATE,ROUNDDOWN(GRANTEDDAYS/30,0),"")</f>
        <v>6</v>
      </c>
      <c r="E9" s="5"/>
      <c r="F9" s="5"/>
      <c r="G9" s="5"/>
      <c r="H9" s="5"/>
      <c r="I9" s="5"/>
      <c r="J9" s="5"/>
      <c r="K9" s="5"/>
      <c r="M9" s="5"/>
    </row>
    <row r="10" spans="1:14" ht="39" thickBot="1" x14ac:dyDescent="0.4">
      <c r="A10" s="78" t="s">
        <v>8</v>
      </c>
      <c r="B10" s="30"/>
      <c r="C10" s="49">
        <f>IF(STARTDATE&lt;ENDDATE,GRANTEDDAYS-GRANTEDMONTHS*30,"")</f>
        <v>2</v>
      </c>
      <c r="D10" s="3"/>
      <c r="E10" s="3"/>
      <c r="F10" s="3"/>
      <c r="G10" s="3"/>
      <c r="H10" s="3"/>
      <c r="I10" s="3"/>
      <c r="J10" s="3"/>
      <c r="K10" s="3"/>
      <c r="M10" s="3"/>
    </row>
    <row r="11" spans="1:14" x14ac:dyDescent="0.25">
      <c r="B11"/>
    </row>
    <row r="12" spans="1:14" ht="15.75" thickBot="1" x14ac:dyDescent="0.3">
      <c r="B12"/>
    </row>
    <row r="13" spans="1:14" ht="21.75" thickBot="1" x14ac:dyDescent="0.35">
      <c r="A13" s="39" t="s">
        <v>9</v>
      </c>
      <c r="B13"/>
      <c r="C13" s="137" t="s">
        <v>10</v>
      </c>
      <c r="D13" s="138"/>
      <c r="E13" s="138"/>
      <c r="F13" s="138"/>
      <c r="G13" s="138"/>
      <c r="H13" s="139"/>
      <c r="I13" s="64"/>
      <c r="J13" s="140" t="s">
        <v>11</v>
      </c>
      <c r="K13" s="141"/>
      <c r="L13" s="142"/>
      <c r="M13" s="64"/>
      <c r="N13" s="146" t="s">
        <v>12</v>
      </c>
    </row>
    <row r="14" spans="1:14" ht="79.5" customHeight="1" thickBot="1" x14ac:dyDescent="0.3">
      <c r="A14" s="8"/>
      <c r="B14" s="8"/>
      <c r="C14" s="94" t="s">
        <v>13</v>
      </c>
      <c r="D14" s="95" t="s">
        <v>14</v>
      </c>
      <c r="E14" s="95" t="s">
        <v>15</v>
      </c>
      <c r="F14" s="95" t="s">
        <v>16</v>
      </c>
      <c r="G14" s="95" t="s">
        <v>17</v>
      </c>
      <c r="H14" s="96" t="s">
        <v>18</v>
      </c>
      <c r="I14" s="65"/>
      <c r="J14" s="16" t="s">
        <v>19</v>
      </c>
      <c r="K14" s="17" t="s">
        <v>20</v>
      </c>
      <c r="L14" s="18" t="s">
        <v>21</v>
      </c>
      <c r="M14" s="65"/>
      <c r="N14" s="147"/>
    </row>
    <row r="15" spans="1:14" ht="57.95" customHeight="1" x14ac:dyDescent="0.25">
      <c r="A15" s="36" t="s">
        <v>22</v>
      </c>
      <c r="B15" s="63"/>
      <c r="C15" s="41">
        <v>540</v>
      </c>
      <c r="D15" s="42">
        <v>250</v>
      </c>
      <c r="E15" s="42">
        <v>150</v>
      </c>
      <c r="F15" s="37">
        <f>SUM(C15:E15)</f>
        <v>940</v>
      </c>
      <c r="G15" s="125">
        <f>(F15/30)</f>
        <v>31.333333333333332</v>
      </c>
      <c r="H15" s="122">
        <f>ROUND(GRANTEDMONTHS*F15+EXTRADAYS*G15,0)</f>
        <v>5703</v>
      </c>
      <c r="I15" s="66"/>
      <c r="J15" s="43" t="s">
        <v>23</v>
      </c>
      <c r="K15" s="28">
        <v>0</v>
      </c>
      <c r="L15" s="25" t="s">
        <v>23</v>
      </c>
      <c r="M15" s="67"/>
      <c r="N15" s="118">
        <f>SUM(H15:L15)</f>
        <v>5703</v>
      </c>
    </row>
    <row r="16" spans="1:14" ht="18.75" x14ac:dyDescent="0.3">
      <c r="A16" s="7"/>
      <c r="B16" s="7"/>
      <c r="C16" s="150" t="s">
        <v>24</v>
      </c>
      <c r="D16" s="52">
        <v>0</v>
      </c>
      <c r="E16" s="52">
        <v>0</v>
      </c>
      <c r="J16" s="50">
        <v>0</v>
      </c>
      <c r="K16" s="51">
        <v>0</v>
      </c>
      <c r="L16" s="51">
        <v>0</v>
      </c>
    </row>
    <row r="17" spans="1:12" x14ac:dyDescent="0.25">
      <c r="B17"/>
      <c r="C17" s="151"/>
      <c r="D17" s="51">
        <v>250</v>
      </c>
      <c r="E17" s="51">
        <v>150</v>
      </c>
      <c r="J17" s="51">
        <v>23</v>
      </c>
      <c r="K17" s="51">
        <v>210</v>
      </c>
      <c r="L17" s="51">
        <v>50</v>
      </c>
    </row>
    <row r="18" spans="1:12" x14ac:dyDescent="0.25">
      <c r="B18"/>
      <c r="J18" s="51">
        <v>180</v>
      </c>
      <c r="K18" s="51">
        <v>320</v>
      </c>
      <c r="L18" s="51"/>
    </row>
    <row r="19" spans="1:12" ht="15.75" thickBot="1" x14ac:dyDescent="0.3">
      <c r="B19"/>
      <c r="J19" s="51">
        <v>275</v>
      </c>
      <c r="K19" s="51">
        <v>410</v>
      </c>
      <c r="L19" s="51"/>
    </row>
    <row r="20" spans="1:12" ht="18.75" x14ac:dyDescent="0.3">
      <c r="A20" s="98" t="s">
        <v>25</v>
      </c>
      <c r="B20" s="99"/>
      <c r="C20" s="99"/>
      <c r="D20" s="99"/>
      <c r="E20" s="99"/>
      <c r="F20" s="99"/>
      <c r="G20" s="99"/>
      <c r="H20" s="11"/>
      <c r="J20" s="51">
        <v>360</v>
      </c>
      <c r="K20" s="51">
        <v>610</v>
      </c>
      <c r="L20" s="51"/>
    </row>
    <row r="21" spans="1:12" ht="18.75" x14ac:dyDescent="0.3">
      <c r="A21" s="101" t="s">
        <v>26</v>
      </c>
      <c r="B21" s="102"/>
      <c r="C21" s="102"/>
      <c r="D21" s="102"/>
      <c r="E21" s="102"/>
      <c r="F21" s="102"/>
      <c r="G21" s="102"/>
      <c r="H21" s="12"/>
      <c r="J21" s="51">
        <v>530</v>
      </c>
      <c r="K21" s="51"/>
      <c r="L21" s="51"/>
    </row>
    <row r="22" spans="1:12" ht="18.75" x14ac:dyDescent="0.3">
      <c r="A22" s="82" t="s">
        <v>27</v>
      </c>
      <c r="B22" s="81"/>
      <c r="C22" s="81"/>
      <c r="D22" s="81"/>
      <c r="E22" s="81"/>
      <c r="F22" s="81"/>
      <c r="G22" s="81"/>
      <c r="H22" s="12"/>
      <c r="J22" s="51">
        <v>820</v>
      </c>
      <c r="K22" s="51"/>
      <c r="L22" s="51"/>
    </row>
    <row r="23" spans="1:12" ht="21.75" customHeight="1" x14ac:dyDescent="0.3">
      <c r="A23" s="128" t="s">
        <v>28</v>
      </c>
      <c r="B23" s="129"/>
      <c r="C23" s="129"/>
      <c r="D23" s="129"/>
      <c r="E23" s="129"/>
      <c r="F23" s="129"/>
      <c r="G23" s="129"/>
      <c r="H23" s="130"/>
      <c r="J23" s="51">
        <v>1500</v>
      </c>
      <c r="K23" s="51"/>
      <c r="L23" s="51"/>
    </row>
    <row r="24" spans="1:12" ht="18.75" x14ac:dyDescent="0.3">
      <c r="A24" s="128" t="s">
        <v>29</v>
      </c>
      <c r="B24" s="129"/>
      <c r="C24" s="129"/>
      <c r="D24" s="129"/>
      <c r="E24" s="129"/>
      <c r="F24" s="129"/>
      <c r="G24" s="129"/>
      <c r="H24" s="130"/>
      <c r="J24" s="92"/>
      <c r="K24" s="51"/>
      <c r="L24" s="51"/>
    </row>
    <row r="25" spans="1:12" ht="18.75" x14ac:dyDescent="0.3">
      <c r="A25" s="128" t="s">
        <v>30</v>
      </c>
      <c r="B25" s="129"/>
      <c r="C25" s="129"/>
      <c r="D25" s="129"/>
      <c r="E25" s="129"/>
      <c r="F25" s="129"/>
      <c r="G25" s="129"/>
      <c r="H25" s="130"/>
      <c r="K25" s="62"/>
      <c r="L25" s="62"/>
    </row>
    <row r="26" spans="1:12" ht="37.5" customHeight="1" x14ac:dyDescent="0.25">
      <c r="A26" s="131" t="s">
        <v>31</v>
      </c>
      <c r="B26" s="132"/>
      <c r="C26" s="132"/>
      <c r="D26" s="132"/>
      <c r="E26" s="132"/>
      <c r="F26" s="132"/>
      <c r="G26" s="132"/>
      <c r="H26" s="133"/>
    </row>
    <row r="27" spans="1:12" ht="18.75" x14ac:dyDescent="0.3">
      <c r="A27" s="143" t="s">
        <v>32</v>
      </c>
      <c r="B27" s="144"/>
      <c r="C27" s="144"/>
      <c r="D27" s="144"/>
      <c r="E27" s="144"/>
      <c r="F27" s="144"/>
      <c r="G27" s="144"/>
      <c r="H27" s="145"/>
    </row>
    <row r="28" spans="1:12" ht="37.5" customHeight="1" thickBot="1" x14ac:dyDescent="0.35">
      <c r="A28" s="134" t="s">
        <v>33</v>
      </c>
      <c r="B28" s="135"/>
      <c r="C28" s="135"/>
      <c r="D28" s="135"/>
      <c r="E28" s="135"/>
      <c r="F28" s="135"/>
      <c r="G28" s="135"/>
      <c r="H28" s="136"/>
    </row>
  </sheetData>
  <mergeCells count="11">
    <mergeCell ref="N13:N14"/>
    <mergeCell ref="A23:H23"/>
    <mergeCell ref="A24:H24"/>
    <mergeCell ref="D4:E5"/>
    <mergeCell ref="C16:C17"/>
    <mergeCell ref="A25:H25"/>
    <mergeCell ref="A26:H26"/>
    <mergeCell ref="A28:H28"/>
    <mergeCell ref="C13:H13"/>
    <mergeCell ref="J13:L13"/>
    <mergeCell ref="A27:H27"/>
  </mergeCells>
  <conditionalFormatting sqref="C9">
    <cfRule type="cellIs" dxfId="7" priority="2" operator="between">
      <formula>2</formula>
      <formula>12</formula>
    </cfRule>
    <cfRule type="cellIs" dxfId="6" priority="3" operator="lessThan">
      <formula>2</formula>
    </cfRule>
    <cfRule type="cellIs" dxfId="5" priority="4" operator="greaterThan">
      <formula>12</formula>
    </cfRule>
  </conditionalFormatting>
  <conditionalFormatting sqref="C15">
    <cfRule type="cellIs" dxfId="4" priority="1" operator="between">
      <formula>0</formula>
      <formula>700</formula>
    </cfRule>
  </conditionalFormatting>
  <dataValidations count="5">
    <dataValidation type="list" allowBlank="1" showInputMessage="1" showErrorMessage="1" sqref="E15" xr:uid="{00000000-0002-0000-0000-000000000000}">
      <formula1>$E$16:$E$17</formula1>
    </dataValidation>
    <dataValidation type="list" allowBlank="1" showInputMessage="1" showErrorMessage="1" sqref="D15" xr:uid="{00000000-0002-0000-0000-000001000000}">
      <formula1>$D$16:$D$17</formula1>
    </dataValidation>
    <dataValidation type="list" allowBlank="1" showInputMessage="1" showErrorMessage="1" sqref="K15" xr:uid="{00000000-0002-0000-0000-000002000000}">
      <formula1>$K$16:$K$20</formula1>
    </dataValidation>
    <dataValidation type="list" allowBlank="1" showInputMessage="1" showErrorMessage="1" sqref="L15" xr:uid="{00000000-0002-0000-0000-000003000000}">
      <formula1>$L$16:$L$17</formula1>
    </dataValidation>
    <dataValidation type="list" allowBlank="1" showInputMessage="1" showErrorMessage="1" sqref="J15" xr:uid="{00000000-0002-0000-0000-000004000000}">
      <formula1>$J$16:$J$23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zoomScale="64" zoomScaleNormal="64" workbookViewId="0">
      <selection activeCell="H15" sqref="H15"/>
    </sheetView>
  </sheetViews>
  <sheetFormatPr defaultColWidth="8.7109375" defaultRowHeight="15" x14ac:dyDescent="0.25"/>
  <cols>
    <col min="1" max="1" width="40.7109375" customWidth="1"/>
    <col min="2" max="2" width="25.5703125" customWidth="1"/>
    <col min="3" max="3" width="26.7109375" customWidth="1"/>
    <col min="4" max="4" width="26.28515625" customWidth="1"/>
    <col min="5" max="5" width="25" customWidth="1"/>
    <col min="6" max="6" width="30.7109375" customWidth="1"/>
    <col min="7" max="7" width="24.5703125" customWidth="1"/>
    <col min="8" max="8" width="16.140625" customWidth="1"/>
    <col min="9" max="9" width="30.28515625" customWidth="1"/>
  </cols>
  <sheetData>
    <row r="1" spans="1:9" ht="18.75" x14ac:dyDescent="0.3">
      <c r="A1" s="38" t="s">
        <v>34</v>
      </c>
    </row>
    <row r="2" spans="1:9" ht="18.75" x14ac:dyDescent="0.3">
      <c r="A2" s="3" t="s">
        <v>1</v>
      </c>
    </row>
    <row r="4" spans="1:9" ht="23.25" x14ac:dyDescent="0.35">
      <c r="A4" s="1"/>
      <c r="B4" s="22" t="s">
        <v>2</v>
      </c>
      <c r="C4" s="160" t="s">
        <v>35</v>
      </c>
      <c r="D4" s="161"/>
    </row>
    <row r="5" spans="1:9" ht="40.5" customHeight="1" x14ac:dyDescent="0.25">
      <c r="A5" s="15" t="s">
        <v>36</v>
      </c>
      <c r="B5" s="53">
        <v>44640</v>
      </c>
      <c r="C5" s="160"/>
      <c r="D5" s="161"/>
    </row>
    <row r="6" spans="1:9" ht="42.75" customHeight="1" x14ac:dyDescent="0.25">
      <c r="A6" s="15" t="s">
        <v>37</v>
      </c>
      <c r="B6" s="53">
        <v>44655</v>
      </c>
    </row>
    <row r="7" spans="1:9" ht="23.25" x14ac:dyDescent="0.35">
      <c r="A7" s="19"/>
      <c r="B7" s="23"/>
    </row>
    <row r="8" spans="1:9" ht="38.25" x14ac:dyDescent="0.35">
      <c r="A8" s="84" t="s">
        <v>38</v>
      </c>
      <c r="B8" s="54">
        <f>(B6-B5)+1</f>
        <v>16</v>
      </c>
      <c r="C8" s="121" t="s">
        <v>39</v>
      </c>
    </row>
    <row r="9" spans="1:9" ht="43.5" customHeight="1" x14ac:dyDescent="0.25">
      <c r="A9" s="85" t="s">
        <v>40</v>
      </c>
      <c r="B9" s="61">
        <f>IF(B8&lt;15,B8,14)</f>
        <v>14</v>
      </c>
      <c r="C9" s="121" t="s">
        <v>39</v>
      </c>
    </row>
    <row r="10" spans="1:9" ht="41.25" customHeight="1" x14ac:dyDescent="0.25">
      <c r="A10" s="85" t="s">
        <v>41</v>
      </c>
      <c r="B10" s="61">
        <f>IF(B8&lt;15,0,B8-B9)</f>
        <v>2</v>
      </c>
      <c r="C10" s="121" t="s">
        <v>39</v>
      </c>
    </row>
    <row r="12" spans="1:9" ht="15.75" thickBot="1" x14ac:dyDescent="0.3"/>
    <row r="13" spans="1:9" ht="21.75" customHeight="1" thickBot="1" x14ac:dyDescent="0.35">
      <c r="A13" s="39" t="s">
        <v>9</v>
      </c>
      <c r="B13" s="157" t="s">
        <v>10</v>
      </c>
      <c r="C13" s="158"/>
      <c r="D13" s="158"/>
      <c r="E13" s="159"/>
      <c r="F13" s="154" t="s">
        <v>42</v>
      </c>
      <c r="G13" s="155"/>
      <c r="H13" s="156"/>
      <c r="I13" s="152" t="s">
        <v>43</v>
      </c>
    </row>
    <row r="14" spans="1:9" ht="103.5" customHeight="1" x14ac:dyDescent="0.25">
      <c r="A14" s="8"/>
      <c r="B14" s="109" t="s">
        <v>44</v>
      </c>
      <c r="C14" s="110" t="s">
        <v>45</v>
      </c>
      <c r="D14" s="110" t="s">
        <v>46</v>
      </c>
      <c r="E14" s="111" t="s">
        <v>47</v>
      </c>
      <c r="F14" s="114" t="s">
        <v>19</v>
      </c>
      <c r="G14" s="115" t="s">
        <v>20</v>
      </c>
      <c r="H14" s="116" t="s">
        <v>21</v>
      </c>
      <c r="I14" s="153"/>
    </row>
    <row r="15" spans="1:9" ht="37.5" x14ac:dyDescent="0.25">
      <c r="A15" s="106" t="s">
        <v>48</v>
      </c>
      <c r="B15" s="107">
        <f>70*B9</f>
        <v>980</v>
      </c>
      <c r="C15" s="108">
        <f>50*B10</f>
        <v>100</v>
      </c>
      <c r="D15" s="127">
        <v>0</v>
      </c>
      <c r="E15" s="112">
        <f>B15+C15+D15</f>
        <v>1080</v>
      </c>
      <c r="F15" s="43">
        <v>275</v>
      </c>
      <c r="G15" s="28">
        <v>0</v>
      </c>
      <c r="H15" s="25">
        <v>0</v>
      </c>
      <c r="I15" s="113">
        <f>E15+F15+G15+H15</f>
        <v>1355</v>
      </c>
    </row>
    <row r="16" spans="1:9" ht="18.75" x14ac:dyDescent="0.3">
      <c r="A16" s="87"/>
      <c r="B16" s="88"/>
      <c r="C16" s="88"/>
      <c r="D16" s="55">
        <v>0</v>
      </c>
      <c r="E16" s="91"/>
      <c r="F16" s="50">
        <v>0</v>
      </c>
      <c r="G16" s="51">
        <v>0</v>
      </c>
      <c r="H16" s="51">
        <v>0</v>
      </c>
      <c r="I16" s="88"/>
    </row>
    <row r="17" spans="1:9" x14ac:dyDescent="0.25">
      <c r="A17" s="90"/>
      <c r="B17" s="90"/>
      <c r="C17" s="89"/>
      <c r="D17" s="56" t="str">
        <f>IF((C15)&gt;0,"150 €","100 €")</f>
        <v>150 €</v>
      </c>
      <c r="E17" s="57"/>
      <c r="F17" s="51">
        <v>23</v>
      </c>
      <c r="G17" s="51">
        <v>210</v>
      </c>
      <c r="H17" s="51">
        <v>50</v>
      </c>
      <c r="I17" s="90"/>
    </row>
    <row r="18" spans="1:9" x14ac:dyDescent="0.25">
      <c r="A18" s="90"/>
      <c r="B18" s="90"/>
      <c r="C18" s="90"/>
      <c r="D18" s="57"/>
      <c r="E18" s="92"/>
      <c r="F18" s="51">
        <v>180</v>
      </c>
      <c r="G18" s="51">
        <v>320</v>
      </c>
      <c r="H18" s="51"/>
      <c r="I18" s="90"/>
    </row>
    <row r="19" spans="1:9" ht="15.75" thickBot="1" x14ac:dyDescent="0.3">
      <c r="A19" s="90"/>
      <c r="B19" s="90"/>
      <c r="C19" s="90"/>
      <c r="D19" s="90"/>
      <c r="E19" s="90"/>
      <c r="F19" s="51">
        <v>275</v>
      </c>
      <c r="G19" s="51">
        <v>410</v>
      </c>
      <c r="H19" s="51"/>
      <c r="I19" s="90"/>
    </row>
    <row r="20" spans="1:9" ht="18.75" x14ac:dyDescent="0.3">
      <c r="A20" s="98" t="s">
        <v>49</v>
      </c>
      <c r="B20" s="104"/>
      <c r="C20" s="104"/>
      <c r="D20" s="104"/>
      <c r="E20" s="100"/>
      <c r="F20" s="51">
        <v>360</v>
      </c>
      <c r="G20" s="51">
        <v>610</v>
      </c>
      <c r="H20" s="51"/>
      <c r="I20" s="90"/>
    </row>
    <row r="21" spans="1:9" ht="18.75" x14ac:dyDescent="0.3">
      <c r="A21" s="101" t="s">
        <v>26</v>
      </c>
      <c r="B21" s="105"/>
      <c r="C21" s="105"/>
      <c r="D21" s="105"/>
      <c r="E21" s="103"/>
      <c r="F21" s="51">
        <v>530</v>
      </c>
      <c r="G21" s="51"/>
      <c r="H21" s="51"/>
      <c r="I21" s="90"/>
    </row>
    <row r="22" spans="1:9" ht="18.75" x14ac:dyDescent="0.3">
      <c r="A22" s="82" t="s">
        <v>27</v>
      </c>
      <c r="B22" s="10"/>
      <c r="C22" s="10"/>
      <c r="D22" s="10"/>
      <c r="E22" s="12"/>
      <c r="F22" s="51">
        <v>820</v>
      </c>
      <c r="G22" s="51"/>
      <c r="H22" s="51"/>
      <c r="I22" s="90"/>
    </row>
    <row r="23" spans="1:9" x14ac:dyDescent="0.25">
      <c r="A23" s="13"/>
      <c r="B23" s="10"/>
      <c r="C23" s="10"/>
      <c r="D23" s="10"/>
      <c r="E23" s="12"/>
      <c r="F23" s="51">
        <v>1500</v>
      </c>
      <c r="G23" s="51"/>
      <c r="H23" s="51"/>
      <c r="I23" s="90"/>
    </row>
    <row r="24" spans="1:9" ht="18.75" x14ac:dyDescent="0.3">
      <c r="A24" s="80" t="s">
        <v>50</v>
      </c>
      <c r="B24" s="10"/>
      <c r="C24" s="10"/>
      <c r="D24" s="10"/>
      <c r="E24" s="12"/>
      <c r="F24" s="62"/>
      <c r="G24" s="62"/>
      <c r="H24" s="62"/>
    </row>
    <row r="25" spans="1:9" ht="15.75" thickBot="1" x14ac:dyDescent="0.3">
      <c r="A25" s="58"/>
      <c r="B25" s="59"/>
      <c r="C25" s="59"/>
      <c r="D25" s="59"/>
      <c r="E25" s="60"/>
    </row>
  </sheetData>
  <mergeCells count="4">
    <mergeCell ref="I13:I14"/>
    <mergeCell ref="F13:H13"/>
    <mergeCell ref="B13:E13"/>
    <mergeCell ref="C4:D5"/>
  </mergeCells>
  <conditionalFormatting sqref="B8">
    <cfRule type="cellIs" dxfId="3" priority="1" operator="greaterThan">
      <formula>36</formula>
    </cfRule>
  </conditionalFormatting>
  <dataValidations count="4">
    <dataValidation type="list" allowBlank="1" showInputMessage="1" showErrorMessage="1" sqref="D15" xr:uid="{00000000-0002-0000-0100-000000000000}">
      <formula1>$D$16:$D$17</formula1>
    </dataValidation>
    <dataValidation type="list" allowBlank="1" showInputMessage="1" showErrorMessage="1" sqref="F15" xr:uid="{00000000-0002-0000-0100-000001000000}">
      <formula1>$F$16:$F$23</formula1>
    </dataValidation>
    <dataValidation type="list" allowBlank="1" showInputMessage="1" showErrorMessage="1" sqref="G15" xr:uid="{00000000-0002-0000-0100-000002000000}">
      <formula1>$G$16:$G$20</formula1>
    </dataValidation>
    <dataValidation type="list" allowBlank="1" showInputMessage="1" showErrorMessage="1" sqref="H15" xr:uid="{00000000-0002-0000-0100-000003000000}">
      <formula1>$H$16:$H$17</formula1>
    </dataValidation>
  </dataValidations>
  <pageMargins left="0.7" right="0.7" top="0.75" bottom="0.75" header="0.3" footer="0.3"/>
  <pageSetup orientation="portrait" horizontalDpi="90" verticalDpi="90" r:id="rId1"/>
  <headerFooter>
    <oddFooter>&amp;C&amp;1#&amp;"Calibri"&amp;10&amp;KFFFF00HK-dir Intern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topLeftCell="A7" workbookViewId="0">
      <selection activeCell="F10" sqref="F10"/>
    </sheetView>
  </sheetViews>
  <sheetFormatPr defaultColWidth="8.7109375" defaultRowHeight="15" x14ac:dyDescent="0.25"/>
  <cols>
    <col min="1" max="1" width="13.5703125" customWidth="1"/>
    <col min="2" max="2" width="12.42578125" customWidth="1"/>
    <col min="3" max="3" width="11.42578125" customWidth="1"/>
    <col min="4" max="4" width="10.28515625" customWidth="1"/>
    <col min="5" max="5" width="14.140625" customWidth="1"/>
    <col min="6" max="6" width="11.28515625" customWidth="1"/>
  </cols>
  <sheetData>
    <row r="1" spans="1:17" x14ac:dyDescent="0.25">
      <c r="A1" t="s">
        <v>51</v>
      </c>
      <c r="B1" t="s">
        <v>52</v>
      </c>
      <c r="C1" t="s">
        <v>53</v>
      </c>
      <c r="D1" t="s">
        <v>54</v>
      </c>
      <c r="E1" t="s">
        <v>55</v>
      </c>
      <c r="F1" t="s">
        <v>56</v>
      </c>
      <c r="P1" t="e">
        <f>VLOOKUP('Long-Term Student Mobility'!D15,$A$3:$B$54,2,FALSE)</f>
        <v>#N/A</v>
      </c>
      <c r="Q1" t="e">
        <f>VLOOKUP('Long-Term Student Mobility'!E15,$E$3:$F$54,2,FALSE)</f>
        <v>#N/A</v>
      </c>
    </row>
    <row r="2" spans="1:17" x14ac:dyDescent="0.25">
      <c r="A2" t="s">
        <v>57</v>
      </c>
      <c r="E2" t="s">
        <v>57</v>
      </c>
    </row>
    <row r="3" spans="1:17" x14ac:dyDescent="0.25">
      <c r="A3" t="s">
        <v>58</v>
      </c>
      <c r="B3">
        <v>540</v>
      </c>
      <c r="C3">
        <v>360</v>
      </c>
      <c r="D3">
        <v>410</v>
      </c>
      <c r="E3" t="s">
        <v>58</v>
      </c>
      <c r="F3">
        <v>690</v>
      </c>
    </row>
    <row r="4" spans="1:17" x14ac:dyDescent="0.25">
      <c r="A4" t="s">
        <v>59</v>
      </c>
      <c r="B4">
        <v>490</v>
      </c>
      <c r="C4">
        <v>360</v>
      </c>
      <c r="D4">
        <v>410</v>
      </c>
      <c r="E4" t="s">
        <v>59</v>
      </c>
      <c r="F4">
        <v>640</v>
      </c>
    </row>
    <row r="5" spans="1:17" x14ac:dyDescent="0.25">
      <c r="A5" t="s">
        <v>60</v>
      </c>
      <c r="B5">
        <v>490</v>
      </c>
      <c r="C5">
        <v>360</v>
      </c>
      <c r="D5">
        <v>410</v>
      </c>
      <c r="E5" t="s">
        <v>60</v>
      </c>
      <c r="F5">
        <v>640</v>
      </c>
    </row>
    <row r="6" spans="1:17" x14ac:dyDescent="0.25">
      <c r="A6" t="s">
        <v>61</v>
      </c>
      <c r="B6">
        <v>490</v>
      </c>
      <c r="C6">
        <v>530</v>
      </c>
      <c r="D6">
        <v>610</v>
      </c>
      <c r="E6" t="s">
        <v>61</v>
      </c>
      <c r="F6">
        <v>640</v>
      </c>
    </row>
    <row r="7" spans="1:17" x14ac:dyDescent="0.25">
      <c r="A7" t="s">
        <v>62</v>
      </c>
      <c r="B7">
        <v>490</v>
      </c>
      <c r="C7">
        <v>530</v>
      </c>
      <c r="D7">
        <v>610</v>
      </c>
      <c r="E7" t="s">
        <v>62</v>
      </c>
      <c r="F7">
        <v>640</v>
      </c>
    </row>
    <row r="8" spans="1:17" x14ac:dyDescent="0.25">
      <c r="A8" t="s">
        <v>63</v>
      </c>
      <c r="B8">
        <v>540</v>
      </c>
      <c r="C8">
        <v>360</v>
      </c>
      <c r="D8">
        <v>410</v>
      </c>
      <c r="E8" t="s">
        <v>64</v>
      </c>
      <c r="F8">
        <v>690</v>
      </c>
    </row>
    <row r="9" spans="1:17" x14ac:dyDescent="0.25">
      <c r="A9" t="s">
        <v>64</v>
      </c>
      <c r="B9">
        <v>540</v>
      </c>
      <c r="C9">
        <v>275</v>
      </c>
      <c r="D9">
        <v>410</v>
      </c>
      <c r="E9" t="s">
        <v>63</v>
      </c>
      <c r="F9">
        <v>690</v>
      </c>
    </row>
    <row r="10" spans="1:17" x14ac:dyDescent="0.25">
      <c r="A10" s="6" t="s">
        <v>65</v>
      </c>
      <c r="B10">
        <v>490</v>
      </c>
      <c r="C10">
        <v>275</v>
      </c>
      <c r="D10">
        <v>320</v>
      </c>
      <c r="E10" s="6" t="s">
        <v>65</v>
      </c>
      <c r="F10">
        <v>640</v>
      </c>
    </row>
    <row r="11" spans="1:17" x14ac:dyDescent="0.25">
      <c r="A11" t="s">
        <v>66</v>
      </c>
      <c r="B11">
        <v>540</v>
      </c>
      <c r="C11">
        <v>530</v>
      </c>
      <c r="D11">
        <v>610</v>
      </c>
      <c r="E11" t="s">
        <v>66</v>
      </c>
      <c r="F11">
        <v>690</v>
      </c>
    </row>
    <row r="12" spans="1:17" x14ac:dyDescent="0.25">
      <c r="A12" t="s">
        <v>67</v>
      </c>
      <c r="B12">
        <v>490</v>
      </c>
      <c r="C12">
        <v>360</v>
      </c>
      <c r="D12">
        <v>410</v>
      </c>
      <c r="E12" t="s">
        <v>67</v>
      </c>
      <c r="F12">
        <v>640</v>
      </c>
    </row>
    <row r="13" spans="1:17" x14ac:dyDescent="0.25">
      <c r="A13" t="s">
        <v>68</v>
      </c>
      <c r="B13">
        <v>490</v>
      </c>
      <c r="C13">
        <v>360</v>
      </c>
      <c r="D13">
        <v>410</v>
      </c>
      <c r="E13" t="s">
        <v>68</v>
      </c>
      <c r="F13">
        <v>640</v>
      </c>
    </row>
    <row r="14" spans="1:17" x14ac:dyDescent="0.25">
      <c r="A14" t="s">
        <v>69</v>
      </c>
      <c r="B14">
        <v>490</v>
      </c>
      <c r="C14">
        <v>530</v>
      </c>
      <c r="D14">
        <v>820</v>
      </c>
      <c r="E14" t="s">
        <v>69</v>
      </c>
      <c r="F14">
        <v>640</v>
      </c>
    </row>
    <row r="15" spans="1:17" x14ac:dyDescent="0.25">
      <c r="A15" t="s">
        <v>70</v>
      </c>
      <c r="B15">
        <v>490</v>
      </c>
      <c r="C15">
        <v>820</v>
      </c>
      <c r="D15">
        <v>820</v>
      </c>
      <c r="E15" t="s">
        <v>70</v>
      </c>
      <c r="F15">
        <v>640</v>
      </c>
    </row>
    <row r="16" spans="1:17" x14ac:dyDescent="0.25">
      <c r="A16" t="s">
        <v>71</v>
      </c>
      <c r="B16">
        <v>490</v>
      </c>
      <c r="C16">
        <v>530</v>
      </c>
      <c r="D16">
        <v>610</v>
      </c>
      <c r="E16" t="s">
        <v>71</v>
      </c>
      <c r="F16">
        <v>640</v>
      </c>
    </row>
    <row r="17" spans="1:6" x14ac:dyDescent="0.25">
      <c r="A17" t="s">
        <v>72</v>
      </c>
      <c r="B17">
        <v>490</v>
      </c>
      <c r="C17">
        <v>360</v>
      </c>
      <c r="D17">
        <v>410</v>
      </c>
      <c r="E17" t="s">
        <v>72</v>
      </c>
      <c r="F17">
        <v>640</v>
      </c>
    </row>
    <row r="18" spans="1:6" x14ac:dyDescent="0.25">
      <c r="A18" t="s">
        <v>73</v>
      </c>
      <c r="B18">
        <v>540</v>
      </c>
      <c r="C18">
        <v>360</v>
      </c>
      <c r="D18">
        <v>410</v>
      </c>
      <c r="E18" t="s">
        <v>73</v>
      </c>
      <c r="F18">
        <v>690</v>
      </c>
    </row>
    <row r="19" spans="1:6" x14ac:dyDescent="0.25">
      <c r="A19" t="s">
        <v>74</v>
      </c>
      <c r="B19">
        <v>490</v>
      </c>
      <c r="C19">
        <v>360</v>
      </c>
      <c r="D19">
        <v>410</v>
      </c>
      <c r="E19" t="s">
        <v>74</v>
      </c>
      <c r="F19">
        <v>640</v>
      </c>
    </row>
    <row r="20" spans="1:6" x14ac:dyDescent="0.25">
      <c r="A20" t="s">
        <v>75</v>
      </c>
      <c r="B20">
        <v>490</v>
      </c>
      <c r="C20">
        <v>530</v>
      </c>
      <c r="D20">
        <v>610</v>
      </c>
      <c r="E20" t="s">
        <v>75</v>
      </c>
      <c r="F20">
        <v>640</v>
      </c>
    </row>
    <row r="21" spans="1:6" x14ac:dyDescent="0.25">
      <c r="A21" s="6" t="s">
        <v>76</v>
      </c>
      <c r="B21">
        <v>490</v>
      </c>
      <c r="C21">
        <v>820</v>
      </c>
      <c r="D21">
        <v>820</v>
      </c>
      <c r="E21" s="6" t="s">
        <v>76</v>
      </c>
      <c r="F21">
        <v>640</v>
      </c>
    </row>
    <row r="22" spans="1:6" x14ac:dyDescent="0.25">
      <c r="A22" t="s">
        <v>77</v>
      </c>
      <c r="B22">
        <v>490</v>
      </c>
      <c r="C22">
        <v>360</v>
      </c>
      <c r="D22">
        <v>410</v>
      </c>
      <c r="E22" t="s">
        <v>77</v>
      </c>
      <c r="F22">
        <v>640</v>
      </c>
    </row>
    <row r="23" spans="1:6" x14ac:dyDescent="0.25">
      <c r="A23" t="s">
        <v>78</v>
      </c>
      <c r="B23">
        <v>540</v>
      </c>
      <c r="C23">
        <v>360</v>
      </c>
      <c r="D23">
        <v>410</v>
      </c>
      <c r="E23" t="s">
        <v>78</v>
      </c>
      <c r="F23">
        <v>690</v>
      </c>
    </row>
    <row r="24" spans="1:6" x14ac:dyDescent="0.25">
      <c r="A24" t="s">
        <v>79</v>
      </c>
      <c r="B24">
        <v>490</v>
      </c>
      <c r="C24">
        <v>360</v>
      </c>
      <c r="D24">
        <v>410</v>
      </c>
      <c r="E24" t="s">
        <v>79</v>
      </c>
      <c r="F24">
        <v>640</v>
      </c>
    </row>
    <row r="25" spans="1:6" x14ac:dyDescent="0.25">
      <c r="A25" t="s">
        <v>80</v>
      </c>
      <c r="B25">
        <v>540</v>
      </c>
      <c r="C25">
        <v>360</v>
      </c>
      <c r="D25">
        <v>410</v>
      </c>
      <c r="E25" t="s">
        <v>80</v>
      </c>
      <c r="F25">
        <v>690</v>
      </c>
    </row>
    <row r="26" spans="1:6" x14ac:dyDescent="0.25">
      <c r="A26" t="s">
        <v>81</v>
      </c>
      <c r="B26">
        <v>490</v>
      </c>
      <c r="C26">
        <v>820</v>
      </c>
      <c r="D26">
        <v>820</v>
      </c>
      <c r="E26" t="s">
        <v>81</v>
      </c>
      <c r="F26">
        <v>640</v>
      </c>
    </row>
    <row r="27" spans="1:6" x14ac:dyDescent="0.25">
      <c r="A27" t="s">
        <v>82</v>
      </c>
      <c r="B27">
        <v>540</v>
      </c>
      <c r="C27">
        <v>360</v>
      </c>
      <c r="D27">
        <v>410</v>
      </c>
      <c r="E27" t="s">
        <v>82</v>
      </c>
      <c r="F27">
        <v>690</v>
      </c>
    </row>
    <row r="28" spans="1:6" x14ac:dyDescent="0.25">
      <c r="A28" t="s">
        <v>83</v>
      </c>
      <c r="B28">
        <v>490</v>
      </c>
      <c r="C28">
        <v>360</v>
      </c>
      <c r="D28">
        <v>410</v>
      </c>
      <c r="E28" t="s">
        <v>83</v>
      </c>
      <c r="F28">
        <v>640</v>
      </c>
    </row>
    <row r="29" spans="1:6" x14ac:dyDescent="0.25">
      <c r="A29" t="s">
        <v>84</v>
      </c>
      <c r="B29">
        <v>490</v>
      </c>
      <c r="C29">
        <v>530</v>
      </c>
      <c r="D29">
        <v>610</v>
      </c>
      <c r="E29" t="s">
        <v>84</v>
      </c>
      <c r="F29">
        <v>640</v>
      </c>
    </row>
    <row r="30" spans="1:6" x14ac:dyDescent="0.25">
      <c r="A30" t="s">
        <v>85</v>
      </c>
      <c r="B30">
        <v>540</v>
      </c>
      <c r="C30">
        <v>360</v>
      </c>
      <c r="D30">
        <v>410</v>
      </c>
      <c r="E30" t="s">
        <v>85</v>
      </c>
      <c r="F30">
        <v>690</v>
      </c>
    </row>
    <row r="31" spans="1:6" x14ac:dyDescent="0.25">
      <c r="A31" t="s">
        <v>86</v>
      </c>
      <c r="B31">
        <v>540</v>
      </c>
      <c r="C31">
        <v>275</v>
      </c>
      <c r="D31">
        <v>320</v>
      </c>
      <c r="E31" t="s">
        <v>86</v>
      </c>
      <c r="F31">
        <v>690</v>
      </c>
    </row>
    <row r="32" spans="1:6" x14ac:dyDescent="0.25">
      <c r="A32" s="6" t="s">
        <v>87</v>
      </c>
      <c r="B32">
        <v>700</v>
      </c>
      <c r="C32">
        <v>1500</v>
      </c>
      <c r="D32">
        <v>1500</v>
      </c>
      <c r="E32" s="6" t="s">
        <v>87</v>
      </c>
      <c r="F32">
        <v>700</v>
      </c>
    </row>
    <row r="33" spans="1:6" x14ac:dyDescent="0.25">
      <c r="A33" s="6" t="s">
        <v>88</v>
      </c>
      <c r="B33">
        <v>700</v>
      </c>
      <c r="C33">
        <v>360</v>
      </c>
      <c r="D33">
        <v>410</v>
      </c>
      <c r="E33" s="6" t="s">
        <v>88</v>
      </c>
      <c r="F33">
        <v>700</v>
      </c>
    </row>
    <row r="34" spans="1:6" x14ac:dyDescent="0.25">
      <c r="A34" s="6" t="s">
        <v>89</v>
      </c>
      <c r="B34">
        <v>700</v>
      </c>
      <c r="C34">
        <v>530</v>
      </c>
      <c r="D34">
        <v>610</v>
      </c>
      <c r="E34" s="6" t="s">
        <v>89</v>
      </c>
      <c r="F34">
        <v>700</v>
      </c>
    </row>
    <row r="35" spans="1:6" x14ac:dyDescent="0.25">
      <c r="A35" s="6" t="s">
        <v>90</v>
      </c>
      <c r="B35">
        <v>700</v>
      </c>
      <c r="C35">
        <v>820</v>
      </c>
      <c r="D35">
        <v>820</v>
      </c>
      <c r="E35" s="6" t="s">
        <v>90</v>
      </c>
      <c r="F35">
        <v>700</v>
      </c>
    </row>
    <row r="36" spans="1:6" x14ac:dyDescent="0.25">
      <c r="A36" t="s">
        <v>91</v>
      </c>
      <c r="B36">
        <v>490</v>
      </c>
      <c r="C36">
        <v>360</v>
      </c>
      <c r="D36">
        <v>410</v>
      </c>
      <c r="E36" t="s">
        <v>91</v>
      </c>
      <c r="F36">
        <v>640</v>
      </c>
    </row>
    <row r="37" spans="1:6" x14ac:dyDescent="0.25">
      <c r="A37" t="s">
        <v>92</v>
      </c>
      <c r="B37">
        <v>490</v>
      </c>
      <c r="C37">
        <v>530</v>
      </c>
      <c r="D37">
        <v>410</v>
      </c>
      <c r="E37" t="s">
        <v>92</v>
      </c>
      <c r="F37">
        <v>640</v>
      </c>
    </row>
    <row r="38" spans="1:6" x14ac:dyDescent="0.25">
      <c r="A38" t="s">
        <v>93</v>
      </c>
      <c r="B38">
        <v>490</v>
      </c>
      <c r="C38">
        <v>530</v>
      </c>
      <c r="D38">
        <v>610</v>
      </c>
      <c r="E38" t="s">
        <v>93</v>
      </c>
      <c r="F38">
        <v>640</v>
      </c>
    </row>
    <row r="39" spans="1:6" x14ac:dyDescent="0.25">
      <c r="A39" t="s">
        <v>94</v>
      </c>
      <c r="B39">
        <v>490</v>
      </c>
      <c r="C39">
        <v>530</v>
      </c>
      <c r="D39">
        <v>610</v>
      </c>
      <c r="E39" t="s">
        <v>94</v>
      </c>
      <c r="F39">
        <v>640</v>
      </c>
    </row>
    <row r="40" spans="1:6" x14ac:dyDescent="0.25">
      <c r="A40" t="s">
        <v>95</v>
      </c>
      <c r="B40">
        <v>540</v>
      </c>
      <c r="C40">
        <v>530</v>
      </c>
      <c r="D40">
        <v>610</v>
      </c>
      <c r="E40" t="s">
        <v>95</v>
      </c>
      <c r="F40">
        <v>690</v>
      </c>
    </row>
    <row r="41" spans="1:6" x14ac:dyDescent="0.25">
      <c r="A41" t="s">
        <v>96</v>
      </c>
      <c r="B41">
        <v>490</v>
      </c>
      <c r="C41">
        <v>530</v>
      </c>
      <c r="D41">
        <v>610</v>
      </c>
      <c r="E41" t="s">
        <v>96</v>
      </c>
      <c r="F41">
        <v>640</v>
      </c>
    </row>
    <row r="42" spans="1:6" x14ac:dyDescent="0.25">
      <c r="A42" t="s">
        <v>97</v>
      </c>
      <c r="B42">
        <v>490</v>
      </c>
      <c r="C42">
        <v>360</v>
      </c>
      <c r="D42">
        <v>440</v>
      </c>
      <c r="E42" t="s">
        <v>97</v>
      </c>
      <c r="F42">
        <v>640</v>
      </c>
    </row>
    <row r="43" spans="1:6" x14ac:dyDescent="0.25">
      <c r="A43" t="s">
        <v>98</v>
      </c>
      <c r="B43">
        <v>490</v>
      </c>
      <c r="C43">
        <v>530</v>
      </c>
      <c r="D43">
        <v>610</v>
      </c>
      <c r="E43" t="s">
        <v>98</v>
      </c>
      <c r="F43">
        <v>640</v>
      </c>
    </row>
    <row r="44" spans="1:6" x14ac:dyDescent="0.25">
      <c r="A44" t="s">
        <v>99</v>
      </c>
      <c r="B44">
        <v>490</v>
      </c>
      <c r="C44">
        <v>360</v>
      </c>
      <c r="D44">
        <v>440</v>
      </c>
      <c r="E44" t="s">
        <v>99</v>
      </c>
      <c r="F44">
        <v>640</v>
      </c>
    </row>
    <row r="45" spans="1:6" x14ac:dyDescent="0.25">
      <c r="A45" t="s">
        <v>100</v>
      </c>
      <c r="B45">
        <v>490</v>
      </c>
      <c r="C45">
        <v>530</v>
      </c>
      <c r="D45">
        <v>610</v>
      </c>
      <c r="E45" t="s">
        <v>100</v>
      </c>
      <c r="F45">
        <v>640</v>
      </c>
    </row>
    <row r="46" spans="1:6" x14ac:dyDescent="0.25">
      <c r="A46" t="s">
        <v>101</v>
      </c>
      <c r="B46">
        <v>490</v>
      </c>
      <c r="C46">
        <v>360</v>
      </c>
      <c r="D46">
        <v>410</v>
      </c>
      <c r="E46" t="s">
        <v>101</v>
      </c>
      <c r="F46">
        <v>640</v>
      </c>
    </row>
    <row r="47" spans="1:6" x14ac:dyDescent="0.25">
      <c r="A47" t="s">
        <v>102</v>
      </c>
      <c r="B47">
        <v>490</v>
      </c>
      <c r="C47">
        <v>530</v>
      </c>
      <c r="D47">
        <v>610</v>
      </c>
      <c r="E47" t="s">
        <v>102</v>
      </c>
      <c r="F47">
        <v>640</v>
      </c>
    </row>
    <row r="48" spans="1:6" x14ac:dyDescent="0.25">
      <c r="A48" s="6" t="s">
        <v>103</v>
      </c>
      <c r="B48">
        <v>540</v>
      </c>
      <c r="C48">
        <v>360</v>
      </c>
      <c r="D48">
        <v>410</v>
      </c>
      <c r="E48" s="6" t="s">
        <v>103</v>
      </c>
      <c r="F48">
        <v>690</v>
      </c>
    </row>
    <row r="49" spans="1:6" x14ac:dyDescent="0.25">
      <c r="A49" s="6" t="s">
        <v>104</v>
      </c>
      <c r="B49">
        <v>540</v>
      </c>
      <c r="C49">
        <v>275</v>
      </c>
      <c r="D49">
        <v>320</v>
      </c>
      <c r="E49" s="6" t="s">
        <v>104</v>
      </c>
      <c r="F49">
        <v>690</v>
      </c>
    </row>
    <row r="50" spans="1:6" x14ac:dyDescent="0.25">
      <c r="A50" t="s">
        <v>105</v>
      </c>
      <c r="B50">
        <v>490</v>
      </c>
      <c r="C50">
        <v>360</v>
      </c>
      <c r="D50">
        <v>410</v>
      </c>
      <c r="E50" t="s">
        <v>105</v>
      </c>
      <c r="F50">
        <v>640</v>
      </c>
    </row>
    <row r="51" spans="1:6" x14ac:dyDescent="0.25">
      <c r="A51" s="6" t="s">
        <v>106</v>
      </c>
      <c r="B51">
        <v>490</v>
      </c>
      <c r="C51">
        <v>360</v>
      </c>
      <c r="D51">
        <v>410</v>
      </c>
      <c r="E51" s="6" t="s">
        <v>106</v>
      </c>
      <c r="F51">
        <v>640</v>
      </c>
    </row>
    <row r="52" spans="1:6" x14ac:dyDescent="0.25">
      <c r="A52" s="6" t="s">
        <v>107</v>
      </c>
      <c r="B52">
        <v>490</v>
      </c>
      <c r="C52">
        <v>360</v>
      </c>
      <c r="D52">
        <v>410</v>
      </c>
      <c r="E52" s="6" t="s">
        <v>107</v>
      </c>
      <c r="F52">
        <v>640</v>
      </c>
    </row>
    <row r="53" spans="1:6" x14ac:dyDescent="0.25">
      <c r="A53" t="s">
        <v>108</v>
      </c>
      <c r="B53">
        <v>490</v>
      </c>
      <c r="C53">
        <v>820</v>
      </c>
      <c r="D53">
        <v>820</v>
      </c>
      <c r="E53" t="s">
        <v>108</v>
      </c>
      <c r="F53">
        <v>640</v>
      </c>
    </row>
    <row r="54" spans="1:6" x14ac:dyDescent="0.25">
      <c r="A54" t="s">
        <v>109</v>
      </c>
      <c r="B54">
        <v>540</v>
      </c>
      <c r="C54">
        <v>360</v>
      </c>
      <c r="D54">
        <v>410</v>
      </c>
      <c r="E54" t="s">
        <v>109</v>
      </c>
      <c r="F54">
        <v>690</v>
      </c>
    </row>
  </sheetData>
  <autoFilter ref="A1:F1" xr:uid="{00000000-0009-0000-0000-000002000000}">
    <sortState xmlns:xlrd2="http://schemas.microsoft.com/office/spreadsheetml/2017/richdata2" ref="A2:F54">
      <sortCondition ref="A1"/>
    </sortState>
  </autoFilter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5"/>
  <sheetViews>
    <sheetView topLeftCell="A13" zoomScale="90" zoomScaleNormal="90" workbookViewId="0">
      <selection activeCell="F16" sqref="F16"/>
    </sheetView>
  </sheetViews>
  <sheetFormatPr defaultColWidth="8.7109375" defaultRowHeight="15" x14ac:dyDescent="0.25"/>
  <cols>
    <col min="1" max="1" width="39.28515625" customWidth="1"/>
    <col min="2" max="2" width="25.5703125" customWidth="1"/>
    <col min="3" max="4" width="25.28515625" customWidth="1"/>
    <col min="5" max="5" width="24.140625" customWidth="1"/>
    <col min="6" max="6" width="29.5703125" customWidth="1"/>
    <col min="7" max="7" width="24.5703125" customWidth="1"/>
    <col min="8" max="8" width="30.28515625" customWidth="1"/>
    <col min="9" max="9" width="38.5703125" customWidth="1"/>
  </cols>
  <sheetData>
    <row r="1" spans="1:16" ht="18.75" x14ac:dyDescent="0.3">
      <c r="A1" s="38" t="s">
        <v>110</v>
      </c>
    </row>
    <row r="2" spans="1:16" ht="18.75" x14ac:dyDescent="0.3">
      <c r="A2" s="3" t="s">
        <v>1</v>
      </c>
    </row>
    <row r="4" spans="1:16" ht="23.25" x14ac:dyDescent="0.35">
      <c r="A4" s="1"/>
      <c r="B4" s="22" t="s">
        <v>2</v>
      </c>
      <c r="C4" s="160" t="s">
        <v>35</v>
      </c>
      <c r="D4" s="161"/>
      <c r="E4" s="161"/>
    </row>
    <row r="5" spans="1:16" ht="36.75" x14ac:dyDescent="0.25">
      <c r="A5" s="15" t="s">
        <v>111</v>
      </c>
      <c r="B5" s="53">
        <v>44283</v>
      </c>
      <c r="C5" s="160"/>
      <c r="D5" s="161"/>
      <c r="E5" s="161"/>
    </row>
    <row r="6" spans="1:16" ht="36.75" x14ac:dyDescent="0.25">
      <c r="A6" s="15" t="s">
        <v>37</v>
      </c>
      <c r="B6" s="53">
        <v>44301</v>
      </c>
    </row>
    <row r="7" spans="1:16" ht="18.75" x14ac:dyDescent="0.3">
      <c r="A7" s="19"/>
      <c r="B7" s="20"/>
    </row>
    <row r="8" spans="1:16" ht="37.5" x14ac:dyDescent="0.35">
      <c r="A8" s="44" t="s">
        <v>112</v>
      </c>
      <c r="B8" s="61">
        <f>(B6-B5)+1</f>
        <v>19</v>
      </c>
      <c r="C8" s="93" t="s">
        <v>39</v>
      </c>
      <c r="D8" s="93"/>
    </row>
    <row r="9" spans="1:16" s="21" customFormat="1" ht="37.5" x14ac:dyDescent="0.35">
      <c r="A9" s="86" t="s">
        <v>113</v>
      </c>
      <c r="B9" s="61">
        <f>IF(B8&lt;15,B8,14)</f>
        <v>14</v>
      </c>
      <c r="C9" s="93" t="s">
        <v>39</v>
      </c>
      <c r="D9" s="93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s="21" customFormat="1" ht="37.5" x14ac:dyDescent="0.35">
      <c r="A10" s="86" t="s">
        <v>114</v>
      </c>
      <c r="B10" s="61">
        <f>IF(B8&lt;15,0,B8-B9)</f>
        <v>5</v>
      </c>
      <c r="C10" s="93" t="s">
        <v>39</v>
      </c>
      <c r="D10" s="9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2" spans="1:16" ht="15.75" thickBot="1" x14ac:dyDescent="0.3"/>
    <row r="13" spans="1:16" ht="21.75" customHeight="1" thickBot="1" x14ac:dyDescent="0.35">
      <c r="A13" s="39" t="s">
        <v>9</v>
      </c>
      <c r="B13" s="166" t="s">
        <v>10</v>
      </c>
      <c r="C13" s="167"/>
      <c r="D13" s="167"/>
      <c r="E13" s="167"/>
      <c r="F13" s="168"/>
      <c r="G13" s="155" t="s">
        <v>115</v>
      </c>
      <c r="H13" s="156"/>
      <c r="I13" s="146" t="s">
        <v>43</v>
      </c>
    </row>
    <row r="14" spans="1:16" ht="75" x14ac:dyDescent="0.25">
      <c r="A14" s="8"/>
      <c r="B14" s="109" t="s">
        <v>116</v>
      </c>
      <c r="C14" s="110" t="s">
        <v>117</v>
      </c>
      <c r="D14" s="110" t="s">
        <v>118</v>
      </c>
      <c r="E14" s="126" t="s">
        <v>119</v>
      </c>
      <c r="F14" s="111" t="s">
        <v>120</v>
      </c>
      <c r="G14" s="114" t="s">
        <v>19</v>
      </c>
      <c r="H14" s="116" t="s">
        <v>20</v>
      </c>
      <c r="I14" s="165"/>
    </row>
    <row r="15" spans="1:16" ht="24" thickBot="1" x14ac:dyDescent="0.3">
      <c r="A15" s="117" t="s">
        <v>121</v>
      </c>
      <c r="B15" s="43">
        <v>90</v>
      </c>
      <c r="C15" s="119">
        <f>B15*B9</f>
        <v>1260</v>
      </c>
      <c r="D15" s="124">
        <f>B15*(70/100)</f>
        <v>62.999999999999993</v>
      </c>
      <c r="E15" s="119">
        <f>(D15)*B10</f>
        <v>314.99999999999994</v>
      </c>
      <c r="F15" s="123">
        <f>ROUND(C15+E15,0)</f>
        <v>1575</v>
      </c>
      <c r="G15" s="43">
        <v>0</v>
      </c>
      <c r="H15" s="25">
        <v>410</v>
      </c>
      <c r="I15" s="120">
        <f>F15+G15+H15</f>
        <v>1985</v>
      </c>
    </row>
    <row r="16" spans="1:16" ht="18.75" x14ac:dyDescent="0.3">
      <c r="A16" s="68"/>
      <c r="B16" s="150" t="s">
        <v>122</v>
      </c>
      <c r="C16" s="69"/>
      <c r="D16" s="69"/>
      <c r="E16" s="70"/>
      <c r="F16" s="70"/>
      <c r="G16" s="50">
        <v>0</v>
      </c>
      <c r="H16" s="51">
        <v>0</v>
      </c>
      <c r="I16" s="62"/>
    </row>
    <row r="17" spans="1:9" x14ac:dyDescent="0.25">
      <c r="A17" s="62"/>
      <c r="B17" s="151"/>
      <c r="C17" s="71"/>
      <c r="D17" s="71"/>
      <c r="E17" s="72"/>
      <c r="F17" s="72"/>
      <c r="G17" s="51">
        <v>23</v>
      </c>
      <c r="H17" s="51" t="s">
        <v>123</v>
      </c>
      <c r="I17" s="62"/>
    </row>
    <row r="18" spans="1:9" ht="15.75" thickBot="1" x14ac:dyDescent="0.3">
      <c r="A18" s="62"/>
      <c r="B18" s="62"/>
      <c r="C18" s="62"/>
      <c r="D18" s="62"/>
      <c r="E18" s="62"/>
      <c r="F18" s="62"/>
      <c r="G18" s="51">
        <v>180</v>
      </c>
      <c r="H18" s="51">
        <v>320</v>
      </c>
      <c r="I18" s="62"/>
    </row>
    <row r="19" spans="1:9" ht="18.75" x14ac:dyDescent="0.3">
      <c r="A19" s="98" t="s">
        <v>49</v>
      </c>
      <c r="B19" s="104"/>
      <c r="C19" s="104"/>
      <c r="D19" s="104"/>
      <c r="E19" s="104"/>
      <c r="F19" s="100"/>
      <c r="G19" s="51">
        <v>275</v>
      </c>
      <c r="H19" s="51">
        <v>410</v>
      </c>
      <c r="I19" s="62"/>
    </row>
    <row r="20" spans="1:9" ht="18.75" x14ac:dyDescent="0.3">
      <c r="A20" s="101" t="s">
        <v>26</v>
      </c>
      <c r="B20" s="105"/>
      <c r="C20" s="105"/>
      <c r="D20" s="105"/>
      <c r="E20" s="105"/>
      <c r="F20" s="103"/>
      <c r="G20" s="51">
        <v>360</v>
      </c>
      <c r="H20" s="51">
        <v>610</v>
      </c>
      <c r="I20" s="62"/>
    </row>
    <row r="21" spans="1:9" ht="18.75" x14ac:dyDescent="0.3">
      <c r="A21" s="82" t="s">
        <v>27</v>
      </c>
      <c r="B21" s="10"/>
      <c r="C21" s="10"/>
      <c r="D21" s="10"/>
      <c r="E21" s="10"/>
      <c r="F21" s="97"/>
      <c r="G21" s="51">
        <v>530</v>
      </c>
      <c r="H21" s="51"/>
      <c r="I21" s="62"/>
    </row>
    <row r="22" spans="1:9" x14ac:dyDescent="0.25">
      <c r="A22" s="13"/>
      <c r="B22" s="10"/>
      <c r="C22" s="10"/>
      <c r="D22" s="10"/>
      <c r="E22" s="10"/>
      <c r="F22" s="97"/>
      <c r="G22" s="51">
        <v>820</v>
      </c>
      <c r="H22" s="51"/>
      <c r="I22" s="62"/>
    </row>
    <row r="23" spans="1:9" ht="18.75" x14ac:dyDescent="0.3">
      <c r="A23" s="80" t="s">
        <v>124</v>
      </c>
      <c r="B23" s="10"/>
      <c r="C23" s="10"/>
      <c r="D23" s="10"/>
      <c r="E23" s="10"/>
      <c r="F23" s="97"/>
      <c r="G23" s="51">
        <v>1500</v>
      </c>
      <c r="H23" s="51"/>
      <c r="I23" s="62"/>
    </row>
    <row r="24" spans="1:9" ht="40.5" customHeight="1" thickBot="1" x14ac:dyDescent="0.3">
      <c r="A24" s="162" t="s">
        <v>125</v>
      </c>
      <c r="B24" s="163"/>
      <c r="C24" s="163"/>
      <c r="D24" s="163"/>
      <c r="E24" s="163"/>
      <c r="F24" s="164"/>
      <c r="G24" s="51"/>
      <c r="H24" s="51"/>
      <c r="I24" s="62"/>
    </row>
    <row r="25" spans="1:9" x14ac:dyDescent="0.25">
      <c r="F25" s="73"/>
      <c r="G25" s="92"/>
      <c r="H25" s="92"/>
    </row>
  </sheetData>
  <mergeCells count="6">
    <mergeCell ref="A24:F24"/>
    <mergeCell ref="I13:I14"/>
    <mergeCell ref="G13:H13"/>
    <mergeCell ref="B16:B17"/>
    <mergeCell ref="C4:E5"/>
    <mergeCell ref="B13:F13"/>
  </mergeCells>
  <conditionalFormatting sqref="B8">
    <cfRule type="cellIs" dxfId="2" priority="3" stopIfTrue="1" operator="greaterThan">
      <formula>66</formula>
    </cfRule>
  </conditionalFormatting>
  <conditionalFormatting sqref="B15">
    <cfRule type="cellIs" dxfId="1" priority="2" operator="greaterThan">
      <formula>180</formula>
    </cfRule>
  </conditionalFormatting>
  <conditionalFormatting sqref="B10">
    <cfRule type="cellIs" dxfId="0" priority="1" operator="greaterThan">
      <formula>60</formula>
    </cfRule>
  </conditionalFormatting>
  <dataValidations count="2">
    <dataValidation type="list" allowBlank="1" showInputMessage="1" showErrorMessage="1" sqref="G15" xr:uid="{00000000-0002-0000-0300-000000000000}">
      <formula1>$G$16:$G$23</formula1>
    </dataValidation>
    <dataValidation type="list" allowBlank="1" showInputMessage="1" showErrorMessage="1" sqref="H15" xr:uid="{00000000-0002-0000-0300-000001000000}">
      <formula1>$H$16:$H$20</formula1>
    </dataValidation>
  </dataValidations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59FB-F01B-450D-81D7-E7611F5A3CCF}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  <pageSetup paperSize="9" orientation="portrait" r:id="rId1"/>
  <headerFooter>
    <oddFooter>&amp;C&amp;1#&amp;"Calibri"&amp;10&amp;KFFFF00HK-dir Intern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1a8a8b-b856-4d35-a5c7-7f2c0ec3d499">
      <Terms xmlns="http://schemas.microsoft.com/office/infopath/2007/PartnerControls"/>
    </lcf76f155ced4ddcb4097134ff3c332f>
    <TaxCatchAll xmlns="e0757b53-df10-4b98-9811-094c4c3e23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4EC354ADFB40AC5D4FC129E379BA" ma:contentTypeVersion="16" ma:contentTypeDescription="Create a new document." ma:contentTypeScope="" ma:versionID="6f3a4777e25bff5fdbae7756ed23c54f">
  <xsd:schema xmlns:xsd="http://www.w3.org/2001/XMLSchema" xmlns:xs="http://www.w3.org/2001/XMLSchema" xmlns:p="http://schemas.microsoft.com/office/2006/metadata/properties" xmlns:ns2="541a8a8b-b856-4d35-a5c7-7f2c0ec3d499" xmlns:ns3="e0757b53-df10-4b98-9811-094c4c3e23a8" targetNamespace="http://schemas.microsoft.com/office/2006/metadata/properties" ma:root="true" ma:fieldsID="5e319afaaac6f16597cab0f5755ea4ee" ns2:_="" ns3:_="">
    <xsd:import namespace="541a8a8b-b856-4d35-a5c7-7f2c0ec3d499"/>
    <xsd:import namespace="e0757b53-df10-4b98-9811-094c4c3e2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8a8b-b856-4d35-a5c7-7f2c0ec3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57b53-df10-4b98-9811-094c4c3e23a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8d6dd4-9275-4bee-8f5f-042b412308f4}" ma:internalName="TaxCatchAll" ma:showField="CatchAllData" ma:web="e0757b53-df10-4b98-9811-094c4c3e23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5DEFCF-C4F7-4DDF-BA9D-83B8B2B4FC92}">
  <ds:schemaRefs>
    <ds:schemaRef ds:uri="http://schemas.microsoft.com/office/2006/metadata/properties"/>
    <ds:schemaRef ds:uri="http://purl.org/dc/elements/1.1/"/>
    <ds:schemaRef ds:uri="e0757b53-df10-4b98-9811-094c4c3e23a8"/>
    <ds:schemaRef ds:uri="http://purl.org/dc/terms/"/>
    <ds:schemaRef ds:uri="541a8a8b-b856-4d35-a5c7-7f2c0ec3d499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DD89D04-1079-4629-8C93-8BB01B8791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a8a8b-b856-4d35-a5c7-7f2c0ec3d499"/>
    <ds:schemaRef ds:uri="e0757b53-df10-4b98-9811-094c4c3e2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5</vt:i4>
      </vt:variant>
      <vt:variant>
        <vt:lpstr>Nefnd svið</vt:lpstr>
      </vt:variant>
      <vt:variant>
        <vt:i4>6</vt:i4>
      </vt:variant>
    </vt:vector>
  </HeadingPairs>
  <TitlesOfParts>
    <vt:vector size="11" baseType="lpstr">
      <vt:lpstr>Long-Term Student Mobility</vt:lpstr>
      <vt:lpstr>Short-Term Student Mobility</vt:lpstr>
      <vt:lpstr>Long Term List</vt:lpstr>
      <vt:lpstr>Staff Mobility</vt:lpstr>
      <vt:lpstr>Arkusz1</vt:lpstr>
      <vt:lpstr>ENDDATE</vt:lpstr>
      <vt:lpstr>EXTRADAYS</vt:lpstr>
      <vt:lpstr>GRANTEDDAYS</vt:lpstr>
      <vt:lpstr>GRANTEDEXTRADAYS</vt:lpstr>
      <vt:lpstr>GRANTEDMONTHS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Hulda Hrafnkelsdóttir - RR</cp:lastModifiedBy>
  <cp:revision/>
  <dcterms:created xsi:type="dcterms:W3CDTF">2021-09-17T12:54:45Z</dcterms:created>
  <dcterms:modified xsi:type="dcterms:W3CDTF">2022-09-01T10:51:55Z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0x010100087E4EC354ADFB40AC5D4FC129E379BA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2022-02-04T15:02:03Z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239a4224-59ce-4944-a971-597ee7975846</vt:lpwstr>
  </property>
  <property fmtid="{D5CDD505-2E9C-101B-9397-08002B2CF9AE}" pid="9" name="MSIP_Label_2724d2c2-06b5-4830-8a42-89f80414a936_ContentBits">
    <vt:lpwstr>2</vt:lpwstr>
  </property>
  <property fmtid="{D5CDD505-2E9C-101B-9397-08002B2CF9AE}" pid="10" name="MediaServiceImageTags">
    <vt:lpwstr/>
  </property>
</Properties>
</file>